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0" windowWidth="9000" windowHeight="5895"/>
  </bookViews>
  <sheets>
    <sheet name="SCPI simulation" sheetId="1" r:id="rId1"/>
  </sheets>
  <calcPr calcId="145621"/>
</workbook>
</file>

<file path=xl/calcChain.xml><?xml version="1.0" encoding="utf-8"?>
<calcChain xmlns="http://schemas.openxmlformats.org/spreadsheetml/2006/main">
  <c r="K10" i="1" l="1"/>
  <c r="K9" i="1"/>
  <c r="E15" i="1"/>
  <c r="C21" i="1"/>
  <c r="J21" i="1"/>
  <c r="F21" i="1"/>
  <c r="F22" i="1"/>
  <c r="A22" i="1"/>
  <c r="A23" i="1"/>
  <c r="D21" i="1"/>
  <c r="C22" i="1"/>
  <c r="D23" i="1"/>
  <c r="C23" i="1"/>
  <c r="A24" i="1"/>
  <c r="G22" i="1"/>
  <c r="F23" i="1"/>
  <c r="L21" i="1"/>
  <c r="G21" i="1"/>
  <c r="D22" i="1"/>
  <c r="E22" i="1"/>
  <c r="I23" i="1"/>
  <c r="E21" i="1"/>
  <c r="I22" i="1"/>
  <c r="J22" i="1"/>
  <c r="L22" i="1"/>
  <c r="D24" i="1"/>
  <c r="C24" i="1"/>
  <c r="A25" i="1"/>
  <c r="G23" i="1"/>
  <c r="F24" i="1"/>
  <c r="E23" i="1"/>
  <c r="I24" i="1"/>
  <c r="J23" i="1"/>
  <c r="L23" i="1"/>
  <c r="J24" i="1"/>
  <c r="L24" i="1"/>
  <c r="F25" i="1"/>
  <c r="G24" i="1"/>
  <c r="A26" i="1"/>
  <c r="C25" i="1"/>
  <c r="D25" i="1"/>
  <c r="E24" i="1"/>
  <c r="I25" i="1"/>
  <c r="A27" i="1"/>
  <c r="D26" i="1"/>
  <c r="C26" i="1"/>
  <c r="F26" i="1"/>
  <c r="G25" i="1"/>
  <c r="E25" i="1"/>
  <c r="I26" i="1"/>
  <c r="J25" i="1"/>
  <c r="J26" i="1"/>
  <c r="L26" i="1"/>
  <c r="F27" i="1"/>
  <c r="G26" i="1"/>
  <c r="D27" i="1"/>
  <c r="E26" i="1"/>
  <c r="I27" i="1"/>
  <c r="C27" i="1"/>
  <c r="A28" i="1"/>
  <c r="L25" i="1"/>
  <c r="A29" i="1"/>
  <c r="D28" i="1"/>
  <c r="E27" i="1"/>
  <c r="I28" i="1"/>
  <c r="C28" i="1"/>
  <c r="J27" i="1"/>
  <c r="L27" i="1"/>
  <c r="G27" i="1"/>
  <c r="F28" i="1"/>
  <c r="J28" i="1"/>
  <c r="L28" i="1"/>
  <c r="G28" i="1"/>
  <c r="F29" i="1"/>
  <c r="A30" i="1"/>
  <c r="D29" i="1"/>
  <c r="E28" i="1"/>
  <c r="I29" i="1"/>
  <c r="C29" i="1"/>
  <c r="J29" i="1"/>
  <c r="L29" i="1"/>
  <c r="G29" i="1"/>
  <c r="F30" i="1"/>
  <c r="A31" i="1"/>
  <c r="C30" i="1"/>
  <c r="D30" i="1"/>
  <c r="E29" i="1"/>
  <c r="I30" i="1"/>
  <c r="E30" i="1"/>
  <c r="J30" i="1"/>
  <c r="L30" i="1"/>
  <c r="G30" i="1"/>
  <c r="F31" i="1"/>
  <c r="I31" i="1"/>
  <c r="A32" i="1"/>
  <c r="D31" i="1"/>
  <c r="C31" i="1"/>
  <c r="J31" i="1"/>
  <c r="L31" i="1"/>
  <c r="G31" i="1"/>
  <c r="F32" i="1"/>
  <c r="A33" i="1"/>
  <c r="D32" i="1"/>
  <c r="E31" i="1"/>
  <c r="I32" i="1"/>
  <c r="C32" i="1"/>
  <c r="G32" i="1"/>
  <c r="F33" i="1"/>
  <c r="A34" i="1"/>
  <c r="C33" i="1"/>
  <c r="D33" i="1"/>
  <c r="E32" i="1"/>
  <c r="I33" i="1"/>
  <c r="J32" i="1"/>
  <c r="L32" i="1"/>
  <c r="J33" i="1"/>
  <c r="L33" i="1"/>
  <c r="D34" i="1"/>
  <c r="E33" i="1"/>
  <c r="I34" i="1"/>
  <c r="A35" i="1"/>
  <c r="C34" i="1"/>
  <c r="F34" i="1"/>
  <c r="G33" i="1"/>
  <c r="F35" i="1"/>
  <c r="G34" i="1"/>
  <c r="J34" i="1"/>
  <c r="L34" i="1"/>
  <c r="D35" i="1"/>
  <c r="E34" i="1"/>
  <c r="I35" i="1"/>
  <c r="C35" i="1"/>
  <c r="A36" i="1"/>
  <c r="J35" i="1"/>
  <c r="L35" i="1"/>
  <c r="C36" i="1"/>
  <c r="D36" i="1"/>
  <c r="E35" i="1"/>
  <c r="I36" i="1"/>
  <c r="A37" i="1"/>
  <c r="G35" i="1"/>
  <c r="F36" i="1"/>
  <c r="A38" i="1"/>
  <c r="D37" i="1"/>
  <c r="E36" i="1"/>
  <c r="I37" i="1"/>
  <c r="C37" i="1"/>
  <c r="G36" i="1"/>
  <c r="F37" i="1"/>
  <c r="J36" i="1"/>
  <c r="L36" i="1"/>
  <c r="F38" i="1"/>
  <c r="G37" i="1"/>
  <c r="J37" i="1"/>
  <c r="L37" i="1"/>
  <c r="C38" i="1"/>
  <c r="A39" i="1"/>
  <c r="D38" i="1"/>
  <c r="E37" i="1"/>
  <c r="I38" i="1"/>
  <c r="J38" i="1"/>
  <c r="L38" i="1"/>
  <c r="D39" i="1"/>
  <c r="E38" i="1"/>
  <c r="I39" i="1"/>
  <c r="C39" i="1"/>
  <c r="A40" i="1"/>
  <c r="F39" i="1"/>
  <c r="G38" i="1"/>
  <c r="D40" i="1"/>
  <c r="E39" i="1"/>
  <c r="I40" i="1"/>
  <c r="C40" i="1"/>
  <c r="G39" i="1"/>
  <c r="F40" i="1"/>
  <c r="J39" i="1"/>
  <c r="L39" i="1"/>
  <c r="G40" i="1"/>
  <c r="E40" i="1"/>
  <c r="I41" i="1"/>
  <c r="J40" i="1"/>
  <c r="L40" i="1"/>
  <c r="J41" i="1"/>
  <c r="K15" i="1"/>
  <c r="L41" i="1"/>
  <c r="K14" i="1"/>
</calcChain>
</file>

<file path=xl/comments1.xml><?xml version="1.0" encoding="utf-8"?>
<comments xmlns="http://schemas.openxmlformats.org/spreadsheetml/2006/main">
  <authors>
    <author>Jean-Louis Denis</author>
  </authors>
  <commentList>
    <comment ref="L18" authorId="0">
      <text>
        <r>
          <rPr>
            <b/>
            <sz val="8"/>
            <color indexed="81"/>
            <rFont val="Tahoma"/>
            <charset val="1"/>
          </rPr>
          <t>Jean-Louis Denis:</t>
        </r>
        <r>
          <rPr>
            <sz val="8"/>
            <color indexed="81"/>
            <rFont val="Tahoma"/>
            <charset val="1"/>
          </rPr>
          <t xml:space="preserve">
flux pour calculer le 
TRI sur la durée du crédit</t>
        </r>
      </text>
    </comment>
  </commentList>
</comments>
</file>

<file path=xl/sharedStrings.xml><?xml version="1.0" encoding="utf-8"?>
<sst xmlns="http://schemas.openxmlformats.org/spreadsheetml/2006/main" count="35" uniqueCount="32">
  <si>
    <t>Frais sortie</t>
  </si>
  <si>
    <t>Rendement initial</t>
  </si>
  <si>
    <t>Montant Investissement</t>
  </si>
  <si>
    <t>Durée</t>
  </si>
  <si>
    <t xml:space="preserve"> ans</t>
  </si>
  <si>
    <t>Année</t>
  </si>
  <si>
    <t xml:space="preserve">Montant </t>
  </si>
  <si>
    <t>CRD</t>
  </si>
  <si>
    <t>Revenu</t>
  </si>
  <si>
    <t>Impots</t>
  </si>
  <si>
    <t>Trésorerie</t>
  </si>
  <si>
    <t>Echéances</t>
  </si>
  <si>
    <t>déb de pér</t>
  </si>
  <si>
    <t>Intérêts</t>
  </si>
  <si>
    <t>Brut</t>
  </si>
  <si>
    <t>Nette</t>
  </si>
  <si>
    <t>Croissance annuelle parts</t>
  </si>
  <si>
    <t>Croissance annuelle loyer</t>
  </si>
  <si>
    <t xml:space="preserve">Frais initiaux </t>
  </si>
  <si>
    <t>Montant Crédit</t>
  </si>
  <si>
    <t>Taux du financement</t>
  </si>
  <si>
    <t>Echance mensuelle</t>
  </si>
  <si>
    <t>Valo. nette à 20 ans</t>
  </si>
  <si>
    <t>Valo. nette fin de crédit</t>
  </si>
  <si>
    <t>TRI sur durée du crédit</t>
  </si>
  <si>
    <t>TRI sur 20 ans</t>
  </si>
  <si>
    <t xml:space="preserve">Tranche </t>
  </si>
  <si>
    <t>marginale</t>
  </si>
  <si>
    <t xml:space="preserve">Revenu </t>
  </si>
  <si>
    <t>mensuel</t>
  </si>
  <si>
    <t xml:space="preserve">Renseignez les informations de votre opération envisagée dans les cases grisées. </t>
  </si>
  <si>
    <t>Le modèle présentera ensuite le TRI sur la durée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</si>
</sst>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5" formatCode="#,##0\ &quot;€&quot;;\-#,##0\ &quot;€&quot;"/>
    <numFmt numFmtId="7" formatCode="#,##0.00\ &quot;€&quot;;\-#,##0.00\ &quot;€&quot;"/>
    <numFmt numFmtId="8" formatCode="#,##0.00\ &quot;€&quot;;[Red]\-#,##0.00\ &quot;€&quot;"/>
  </numFmts>
  <fonts count="6">
    <font>
      <sz val="10"/>
      <name val="Helv"/>
    </font>
    <font>
      <i/>
      <sz val="8"/>
      <name val="Helv"/>
    </font>
    <font>
      <sz val="8"/>
      <name val="Helv"/>
    </font>
    <font>
      <sz val="8"/>
      <color indexed="81"/>
      <name val="Tahoma"/>
      <charset val="1"/>
    </font>
    <font>
      <b/>
      <sz val="8"/>
      <color indexed="81"/>
      <name val="Tahoma"/>
      <charset val="1"/>
    </font>
    <font>
      <b/>
      <sz val="10"/>
      <name val="Helv"/>
      <charset val="238"/>
    </font>
  </fonts>
  <fills count="6">
    <fill>
      <patternFill patternType="none"/>
    </fill>
    <fill>
      <patternFill patternType="gray125"/>
    </fill>
    <fill>
      <patternFill patternType="solid">
        <fgColor theme="5" tint="0.599963377788628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NumberFormat="1" applyBorder="1"/>
    <xf numFmtId="0" fontId="0" fillId="0" borderId="2" xfId="0" applyNumberFormat="1" applyBorder="1"/>
    <xf numFmtId="0" fontId="0" fillId="0" borderId="3" xfId="0" applyNumberFormat="1" applyBorder="1"/>
    <xf numFmtId="0" fontId="0" fillId="0" borderId="4" xfId="0" applyNumberFormat="1" applyBorder="1"/>
    <xf numFmtId="0" fontId="0" fillId="0" borderId="5" xfId="0" applyNumberFormat="1" applyBorder="1"/>
    <xf numFmtId="0" fontId="0" fillId="0" borderId="6" xfId="0" applyNumberFormat="1" applyBorder="1"/>
    <xf numFmtId="0" fontId="0" fillId="0" borderId="7" xfId="0" applyNumberFormat="1" applyBorder="1"/>
    <xf numFmtId="7" fontId="0" fillId="0" borderId="8" xfId="0" applyNumberFormat="1" applyBorder="1"/>
    <xf numFmtId="0" fontId="0" fillId="0" borderId="0" xfId="0" applyNumberFormat="1"/>
    <xf numFmtId="0" fontId="0" fillId="0" borderId="9" xfId="0" applyNumberFormat="1" applyBorder="1"/>
    <xf numFmtId="7" fontId="0" fillId="0" borderId="0" xfId="0" applyNumberFormat="1"/>
    <xf numFmtId="0" fontId="0" fillId="0" borderId="10" xfId="0" applyNumberFormat="1" applyBorder="1"/>
    <xf numFmtId="0" fontId="0" fillId="0" borderId="11" xfId="0" applyNumberFormat="1" applyBorder="1"/>
    <xf numFmtId="0" fontId="1" fillId="0" borderId="0" xfId="0" applyNumberFormat="1" applyFont="1"/>
    <xf numFmtId="0" fontId="0" fillId="0" borderId="8" xfId="0" applyNumberFormat="1" applyBorder="1" applyAlignment="1">
      <alignment horizontal="center"/>
    </xf>
    <xf numFmtId="7" fontId="0" fillId="0" borderId="10" xfId="0" applyNumberFormat="1" applyBorder="1"/>
    <xf numFmtId="7" fontId="0" fillId="0" borderId="12" xfId="0" applyNumberFormat="1" applyBorder="1"/>
    <xf numFmtId="5" fontId="0" fillId="0" borderId="0" xfId="0" applyNumberFormat="1"/>
    <xf numFmtId="7" fontId="0" fillId="0" borderId="11" xfId="0" applyNumberFormat="1" applyBorder="1"/>
    <xf numFmtId="0" fontId="0" fillId="0" borderId="13" xfId="0" applyNumberFormat="1" applyBorder="1"/>
    <xf numFmtId="0" fontId="0" fillId="0" borderId="0" xfId="0" applyNumberFormat="1" applyBorder="1"/>
    <xf numFmtId="0" fontId="0" fillId="0" borderId="7" xfId="0" applyBorder="1"/>
    <xf numFmtId="0" fontId="0" fillId="0" borderId="3" xfId="0" applyBorder="1"/>
    <xf numFmtId="0" fontId="0" fillId="0" borderId="14" xfId="0" applyBorder="1"/>
    <xf numFmtId="7" fontId="0" fillId="0" borderId="9" xfId="0" applyNumberFormat="1" applyBorder="1"/>
    <xf numFmtId="0" fontId="0" fillId="2" borderId="3" xfId="0" applyNumberFormat="1" applyFill="1" applyBorder="1"/>
    <xf numFmtId="7" fontId="0" fillId="2" borderId="14" xfId="0" applyNumberFormat="1" applyFill="1" applyBorder="1"/>
    <xf numFmtId="7" fontId="0" fillId="2" borderId="8" xfId="0" applyNumberFormat="1" applyFill="1" applyBorder="1"/>
    <xf numFmtId="9" fontId="0" fillId="0" borderId="8" xfId="0" applyNumberFormat="1" applyBorder="1"/>
    <xf numFmtId="10" fontId="0" fillId="3" borderId="10" xfId="0" applyNumberFormat="1" applyFill="1" applyBorder="1"/>
    <xf numFmtId="10" fontId="0" fillId="3" borderId="12" xfId="0" applyNumberFormat="1" applyFill="1" applyBorder="1"/>
    <xf numFmtId="10" fontId="0" fillId="3" borderId="11" xfId="0" applyNumberFormat="1" applyFill="1" applyBorder="1"/>
    <xf numFmtId="7" fontId="0" fillId="3" borderId="10" xfId="0" applyNumberFormat="1" applyFill="1" applyBorder="1"/>
    <xf numFmtId="7" fontId="0" fillId="3" borderId="12" xfId="0" applyNumberFormat="1" applyFill="1" applyBorder="1"/>
    <xf numFmtId="0" fontId="0" fillId="0" borderId="3" xfId="0" applyNumberFormat="1" applyFill="1" applyBorder="1"/>
    <xf numFmtId="7" fontId="0" fillId="0" borderId="8" xfId="0" applyNumberFormat="1" applyFill="1" applyBorder="1"/>
    <xf numFmtId="10" fontId="0" fillId="0" borderId="9" xfId="0" applyNumberFormat="1" applyFill="1" applyBorder="1"/>
    <xf numFmtId="10" fontId="0" fillId="0" borderId="7" xfId="0" applyNumberFormat="1" applyFill="1" applyBorder="1"/>
    <xf numFmtId="0" fontId="0" fillId="4" borderId="3" xfId="0" applyNumberFormat="1" applyFill="1" applyBorder="1"/>
    <xf numFmtId="10" fontId="0" fillId="4" borderId="9" xfId="0" applyNumberFormat="1" applyFill="1" applyBorder="1"/>
    <xf numFmtId="10" fontId="0" fillId="4" borderId="8" xfId="0" applyNumberFormat="1" applyFill="1" applyBorder="1"/>
    <xf numFmtId="0" fontId="0" fillId="5" borderId="3" xfId="0" applyNumberFormat="1" applyFill="1" applyBorder="1"/>
    <xf numFmtId="0" fontId="5" fillId="0" borderId="0" xfId="0" applyFont="1"/>
    <xf numFmtId="10" fontId="0" fillId="3" borderId="8" xfId="0" applyNumberFormat="1" applyFill="1" applyBorder="1"/>
    <xf numFmtId="8" fontId="0" fillId="3" borderId="11" xfId="0" applyNumberFormat="1" applyFill="1" applyBorder="1"/>
    <xf numFmtId="9" fontId="0" fillId="3" borderId="12" xfId="0" applyNumberForma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M43"/>
  <sheetViews>
    <sheetView tabSelected="1" workbookViewId="0"/>
  </sheetViews>
  <sheetFormatPr baseColWidth="10" defaultRowHeight="12.75"/>
  <cols>
    <col min="1" max="1" width="6.7109375" customWidth="1"/>
    <col min="2" max="2" width="3.7109375" customWidth="1"/>
    <col min="3" max="3" width="11.85546875" bestFit="1" customWidth="1"/>
    <col min="4" max="4" width="13.28515625" bestFit="1" customWidth="1"/>
    <col min="5" max="5" width="12.7109375" bestFit="1" customWidth="1"/>
    <col min="10" max="10" width="12.85546875" customWidth="1"/>
    <col min="11" max="11" width="15.85546875" customWidth="1"/>
    <col min="12" max="13" width="20.7109375" customWidth="1"/>
  </cols>
  <sheetData>
    <row r="2" spans="3:13">
      <c r="C2" s="43" t="s">
        <v>30</v>
      </c>
    </row>
    <row r="3" spans="3:13">
      <c r="C3" s="43" t="s">
        <v>31</v>
      </c>
    </row>
    <row r="5" spans="3:13">
      <c r="C5" s="1" t="s">
        <v>20</v>
      </c>
      <c r="D5" s="2"/>
      <c r="E5" s="30">
        <v>0.02</v>
      </c>
      <c r="I5" s="42" t="s">
        <v>0</v>
      </c>
      <c r="J5" s="44">
        <v>0.12</v>
      </c>
    </row>
    <row r="6" spans="3:13">
      <c r="C6" s="4" t="s">
        <v>1</v>
      </c>
      <c r="D6" s="5"/>
      <c r="E6" s="31">
        <v>4.4999999999999998E-2</v>
      </c>
    </row>
    <row r="7" spans="3:13">
      <c r="C7" s="4" t="s">
        <v>17</v>
      </c>
      <c r="D7" s="5"/>
      <c r="E7" s="31">
        <v>0.01</v>
      </c>
      <c r="M7" s="11"/>
    </row>
    <row r="8" spans="3:13">
      <c r="C8" s="6" t="s">
        <v>16</v>
      </c>
      <c r="D8" s="7"/>
      <c r="E8" s="32">
        <v>0.01</v>
      </c>
    </row>
    <row r="9" spans="3:13">
      <c r="I9" s="35" t="s">
        <v>23</v>
      </c>
      <c r="J9" s="36"/>
      <c r="K9" s="36">
        <f>E10*(1-J5)*(1+E7)^D14</f>
        <v>107376.72351542109</v>
      </c>
    </row>
    <row r="10" spans="3:13">
      <c r="C10" s="1" t="s">
        <v>2</v>
      </c>
      <c r="D10" s="20"/>
      <c r="E10" s="33">
        <v>100000</v>
      </c>
      <c r="I10" s="35" t="s">
        <v>22</v>
      </c>
      <c r="J10" s="36"/>
      <c r="K10" s="36">
        <f>E10*(1-J5)*(1+E8)^20</f>
        <v>107376.72351542109</v>
      </c>
    </row>
    <row r="11" spans="3:13">
      <c r="C11" s="4" t="s">
        <v>19</v>
      </c>
      <c r="D11" s="21"/>
      <c r="E11" s="34">
        <v>100000</v>
      </c>
    </row>
    <row r="12" spans="3:13">
      <c r="C12" s="6" t="s">
        <v>18</v>
      </c>
      <c r="D12" s="22"/>
      <c r="E12" s="45">
        <v>500</v>
      </c>
    </row>
    <row r="14" spans="3:13">
      <c r="C14" s="3" t="s">
        <v>3</v>
      </c>
      <c r="D14" s="3">
        <v>20</v>
      </c>
      <c r="E14" s="10" t="s">
        <v>4</v>
      </c>
      <c r="I14" s="39" t="s">
        <v>24</v>
      </c>
      <c r="J14" s="40"/>
      <c r="K14" s="41">
        <f>IRR(($L$21:$L$41),0.1)</f>
        <v>7.2023243265225245E-2</v>
      </c>
    </row>
    <row r="15" spans="3:13">
      <c r="C15" s="26" t="s">
        <v>21</v>
      </c>
      <c r="D15" s="27"/>
      <c r="E15" s="28">
        <f>PMT(E5/12,D14*12,E11)</f>
        <v>-505.88333504511718</v>
      </c>
      <c r="I15" s="35" t="s">
        <v>25</v>
      </c>
      <c r="J15" s="37"/>
      <c r="K15" s="38">
        <f>IRR(($J$21:$J$41),0.1)</f>
        <v>7.2023243265225245E-2</v>
      </c>
    </row>
    <row r="17" spans="1:13">
      <c r="L17" s="9"/>
    </row>
    <row r="18" spans="1:13">
      <c r="A18" s="12" t="s">
        <v>5</v>
      </c>
      <c r="C18" s="12" t="s">
        <v>6</v>
      </c>
      <c r="D18" s="12" t="s">
        <v>7</v>
      </c>
      <c r="E18" s="12" t="s">
        <v>6</v>
      </c>
      <c r="F18" s="12" t="s">
        <v>8</v>
      </c>
      <c r="G18" s="12" t="s">
        <v>28</v>
      </c>
      <c r="H18" s="12" t="s">
        <v>26</v>
      </c>
      <c r="I18" s="12" t="s">
        <v>9</v>
      </c>
      <c r="J18" s="12" t="s">
        <v>10</v>
      </c>
      <c r="L18" s="12" t="s">
        <v>10</v>
      </c>
    </row>
    <row r="19" spans="1:13">
      <c r="A19" s="13"/>
      <c r="C19" s="13" t="s">
        <v>11</v>
      </c>
      <c r="D19" s="13" t="s">
        <v>12</v>
      </c>
      <c r="E19" s="13" t="s">
        <v>13</v>
      </c>
      <c r="F19" s="13" t="s">
        <v>14</v>
      </c>
      <c r="G19" s="13" t="s">
        <v>29</v>
      </c>
      <c r="H19" s="13" t="s">
        <v>27</v>
      </c>
      <c r="I19" s="13"/>
      <c r="J19" s="13" t="s">
        <v>15</v>
      </c>
      <c r="L19" s="13" t="s">
        <v>15</v>
      </c>
    </row>
    <row r="20" spans="1:13">
      <c r="E20" s="14"/>
      <c r="J20" s="11"/>
      <c r="K20" s="11"/>
      <c r="L20" s="11"/>
      <c r="M20" s="11"/>
    </row>
    <row r="21" spans="1:13">
      <c r="A21" s="15">
        <v>1</v>
      </c>
      <c r="B21" s="11"/>
      <c r="C21" s="16">
        <f>12*E15</f>
        <v>-6070.6000205414057</v>
      </c>
      <c r="D21" s="16">
        <f>E11</f>
        <v>100000</v>
      </c>
      <c r="E21" s="16">
        <f t="shared" ref="E21:E40" si="0">C21+(D21-D22)</f>
        <v>-1962.4780879579375</v>
      </c>
      <c r="F21" s="16">
        <f>E10*E6</f>
        <v>4500</v>
      </c>
      <c r="G21" s="16">
        <f>F21/12</f>
        <v>375</v>
      </c>
      <c r="H21" s="16"/>
      <c r="I21" s="16">
        <v>0</v>
      </c>
      <c r="J21" s="16">
        <f>C21+F21+I21-(E10-E11)-E12</f>
        <v>-2070.6000205414057</v>
      </c>
      <c r="K21" s="11"/>
      <c r="L21" s="16">
        <f>J21</f>
        <v>-2070.6000205414057</v>
      </c>
      <c r="M21" s="11"/>
    </row>
    <row r="22" spans="1:13">
      <c r="A22" s="15">
        <f t="shared" ref="A22:A39" si="1">1+A21</f>
        <v>2</v>
      </c>
      <c r="B22" s="11"/>
      <c r="C22" s="17">
        <f t="shared" ref="C22:C39" si="2">IF(A22&gt;$D$14,0,C21)</f>
        <v>-6070.6000205414057</v>
      </c>
      <c r="D22" s="17">
        <f t="shared" ref="D22:D40" si="3">IF(A22&gt;$D$14,0,PV($E$5/12,($D$14-A21)*12,$E$15))</f>
        <v>95891.878067416532</v>
      </c>
      <c r="E22" s="17">
        <f t="shared" si="0"/>
        <v>-1879.5582936843311</v>
      </c>
      <c r="F22" s="17">
        <f t="shared" ref="F22:F39" si="4">F21*(1+$E$7)</f>
        <v>4545</v>
      </c>
      <c r="G22" s="16">
        <f t="shared" ref="G22:G40" si="5">F22/12</f>
        <v>378.75</v>
      </c>
      <c r="H22" s="46">
        <v>0.2</v>
      </c>
      <c r="I22" s="17">
        <f>-H22*(F21+E21-E12)</f>
        <v>-407.50438240841254</v>
      </c>
      <c r="J22" s="17">
        <f t="shared" ref="J22:J40" si="6">C22+F22+I22</f>
        <v>-1933.1044029498182</v>
      </c>
      <c r="K22" s="11"/>
      <c r="L22" s="17">
        <f>IF(A22&gt;$D$14,IF(A22&gt;$D$14+1,0,K$9+I22),J22)</f>
        <v>-1933.1044029498182</v>
      </c>
      <c r="M22" s="11"/>
    </row>
    <row r="23" spans="1:13">
      <c r="A23" s="15">
        <f t="shared" si="1"/>
        <v>3</v>
      </c>
      <c r="B23" s="11"/>
      <c r="C23" s="17">
        <f t="shared" si="2"/>
        <v>-6070.6000205414057</v>
      </c>
      <c r="D23" s="17">
        <f t="shared" si="3"/>
        <v>91700.836340559457</v>
      </c>
      <c r="E23" s="17">
        <f t="shared" si="0"/>
        <v>-1794.9648167933083</v>
      </c>
      <c r="F23" s="17">
        <f t="shared" si="4"/>
        <v>4590.45</v>
      </c>
      <c r="G23" s="16">
        <f t="shared" si="5"/>
        <v>382.53749999999997</v>
      </c>
      <c r="H23" s="46">
        <v>0.2</v>
      </c>
      <c r="I23" s="17">
        <f t="shared" ref="I23:I41" si="7">-H23*(F22+E22)</f>
        <v>-533.08834126313377</v>
      </c>
      <c r="J23" s="17">
        <f t="shared" si="6"/>
        <v>-2013.2383618045396</v>
      </c>
      <c r="K23" s="11"/>
      <c r="L23" s="17">
        <f t="shared" ref="L23:L40" si="8">IF(A23&gt;$D$14,IF(A23&gt;$D$14+1,0,K$9+I23),J23)</f>
        <v>-2013.2383618045396</v>
      </c>
      <c r="M23" s="11"/>
    </row>
    <row r="24" spans="1:13">
      <c r="A24" s="15">
        <f t="shared" si="1"/>
        <v>4</v>
      </c>
      <c r="B24" s="11"/>
      <c r="C24" s="17">
        <f t="shared" si="2"/>
        <v>-6070.6000205414057</v>
      </c>
      <c r="D24" s="17">
        <f t="shared" si="3"/>
        <v>87425.20113681136</v>
      </c>
      <c r="E24" s="17">
        <f t="shared" si="0"/>
        <v>-1708.6638750766033</v>
      </c>
      <c r="F24" s="17">
        <f t="shared" si="4"/>
        <v>4636.3544999999995</v>
      </c>
      <c r="G24" s="16">
        <f t="shared" si="5"/>
        <v>386.36287499999997</v>
      </c>
      <c r="H24" s="46">
        <v>0.3</v>
      </c>
      <c r="I24" s="17">
        <f t="shared" si="7"/>
        <v>-838.6455549620074</v>
      </c>
      <c r="J24" s="17">
        <f t="shared" si="6"/>
        <v>-2272.8910755034135</v>
      </c>
      <c r="K24" s="11"/>
      <c r="L24" s="17">
        <f t="shared" si="8"/>
        <v>-2272.8910755034135</v>
      </c>
      <c r="M24" s="11"/>
    </row>
    <row r="25" spans="1:13">
      <c r="A25" s="15">
        <f t="shared" si="1"/>
        <v>5</v>
      </c>
      <c r="B25" s="18"/>
      <c r="C25" s="17">
        <f t="shared" si="2"/>
        <v>-6070.6000205414057</v>
      </c>
      <c r="D25" s="17">
        <f t="shared" si="3"/>
        <v>83063.264991346558</v>
      </c>
      <c r="E25" s="17">
        <f t="shared" si="0"/>
        <v>-1620.6210044564978</v>
      </c>
      <c r="F25" s="17">
        <f t="shared" si="4"/>
        <v>4682.7180449999996</v>
      </c>
      <c r="G25" s="16">
        <f t="shared" si="5"/>
        <v>390.22650374999995</v>
      </c>
      <c r="H25" s="46">
        <v>0.3</v>
      </c>
      <c r="I25" s="17">
        <f t="shared" si="7"/>
        <v>-878.30718747701883</v>
      </c>
      <c r="J25" s="17">
        <f t="shared" si="6"/>
        <v>-2266.189163018425</v>
      </c>
      <c r="K25" s="11"/>
      <c r="L25" s="17">
        <f t="shared" si="8"/>
        <v>-2266.189163018425</v>
      </c>
      <c r="M25" s="11"/>
    </row>
    <row r="26" spans="1:13">
      <c r="A26" s="15">
        <f t="shared" si="1"/>
        <v>6</v>
      </c>
      <c r="C26" s="17">
        <f t="shared" si="2"/>
        <v>-6070.6000205414057</v>
      </c>
      <c r="D26" s="17">
        <f t="shared" si="3"/>
        <v>78613.28597526165</v>
      </c>
      <c r="E26" s="17">
        <f t="shared" si="0"/>
        <v>-1530.8010452206836</v>
      </c>
      <c r="F26" s="17">
        <f t="shared" si="4"/>
        <v>4729.5452254499996</v>
      </c>
      <c r="G26" s="16">
        <f t="shared" si="5"/>
        <v>394.12876878749995</v>
      </c>
      <c r="H26" s="46">
        <v>0.3</v>
      </c>
      <c r="I26" s="17">
        <f t="shared" si="7"/>
        <v>-918.62911216305054</v>
      </c>
      <c r="J26" s="17">
        <f t="shared" si="6"/>
        <v>-2259.6839072544567</v>
      </c>
      <c r="K26" s="11"/>
      <c r="L26" s="17">
        <f t="shared" si="8"/>
        <v>-2259.6839072544567</v>
      </c>
      <c r="M26" s="11"/>
    </row>
    <row r="27" spans="1:13">
      <c r="A27" s="15">
        <f t="shared" si="1"/>
        <v>7</v>
      </c>
      <c r="C27" s="17">
        <f t="shared" si="2"/>
        <v>-6070.6000205414057</v>
      </c>
      <c r="D27" s="17">
        <f t="shared" si="3"/>
        <v>74073.486999940927</v>
      </c>
      <c r="E27" s="17">
        <f t="shared" si="0"/>
        <v>-1439.1681279801596</v>
      </c>
      <c r="F27" s="17">
        <f t="shared" si="4"/>
        <v>4776.8406777044993</v>
      </c>
      <c r="G27" s="16">
        <f t="shared" si="5"/>
        <v>398.07005647537494</v>
      </c>
      <c r="H27" s="46">
        <v>0.3</v>
      </c>
      <c r="I27" s="17">
        <f t="shared" si="7"/>
        <v>-959.62325406879472</v>
      </c>
      <c r="J27" s="17">
        <f t="shared" si="6"/>
        <v>-2253.3825969057011</v>
      </c>
      <c r="K27" s="11"/>
      <c r="L27" s="17">
        <f t="shared" si="8"/>
        <v>-2253.3825969057011</v>
      </c>
      <c r="M27" s="11"/>
    </row>
    <row r="28" spans="1:13">
      <c r="A28" s="15">
        <f t="shared" si="1"/>
        <v>8</v>
      </c>
      <c r="C28" s="17">
        <f t="shared" si="2"/>
        <v>-6070.6000205414057</v>
      </c>
      <c r="D28" s="17">
        <f t="shared" si="3"/>
        <v>69442.055107379681</v>
      </c>
      <c r="E28" s="17">
        <f t="shared" si="0"/>
        <v>-1345.6856593461598</v>
      </c>
      <c r="F28" s="17">
        <f t="shared" si="4"/>
        <v>4824.6090844815444</v>
      </c>
      <c r="G28" s="16">
        <f t="shared" si="5"/>
        <v>402.0507570401287</v>
      </c>
      <c r="H28" s="46">
        <v>0.3</v>
      </c>
      <c r="I28" s="17">
        <f t="shared" si="7"/>
        <v>-1001.3017649173019</v>
      </c>
      <c r="J28" s="17">
        <f t="shared" si="6"/>
        <v>-2247.2927009771629</v>
      </c>
      <c r="K28" s="11"/>
      <c r="L28" s="17">
        <f t="shared" si="8"/>
        <v>-2247.2927009771629</v>
      </c>
      <c r="M28" s="11"/>
    </row>
    <row r="29" spans="1:13">
      <c r="A29" s="15">
        <f t="shared" si="1"/>
        <v>9</v>
      </c>
      <c r="C29" s="17">
        <f t="shared" si="2"/>
        <v>-6070.6000205414057</v>
      </c>
      <c r="D29" s="17">
        <f t="shared" si="3"/>
        <v>64717.140746184436</v>
      </c>
      <c r="E29" s="17">
        <f t="shared" si="0"/>
        <v>-1250.3163073151409</v>
      </c>
      <c r="F29" s="17">
        <f t="shared" si="4"/>
        <v>4872.85517532636</v>
      </c>
      <c r="G29" s="16">
        <f t="shared" si="5"/>
        <v>406.07126461053002</v>
      </c>
      <c r="H29" s="46">
        <v>0.3</v>
      </c>
      <c r="I29" s="17">
        <f t="shared" si="7"/>
        <v>-1043.6770275406154</v>
      </c>
      <c r="J29" s="17">
        <f t="shared" si="6"/>
        <v>-2241.4218727556608</v>
      </c>
      <c r="K29" s="11"/>
      <c r="L29" s="17">
        <f t="shared" si="8"/>
        <v>-2241.4218727556608</v>
      </c>
      <c r="M29" s="11"/>
    </row>
    <row r="30" spans="1:13">
      <c r="A30" s="15">
        <f t="shared" si="1"/>
        <v>10</v>
      </c>
      <c r="C30" s="17">
        <f t="shared" si="2"/>
        <v>-6070.6000205414057</v>
      </c>
      <c r="D30" s="17">
        <f t="shared" si="3"/>
        <v>59896.857032958171</v>
      </c>
      <c r="E30" s="17">
        <f t="shared" si="0"/>
        <v>-1153.0219863616112</v>
      </c>
      <c r="F30" s="17">
        <f t="shared" si="4"/>
        <v>4921.5837270796237</v>
      </c>
      <c r="G30" s="16">
        <f t="shared" si="5"/>
        <v>410.13197725663531</v>
      </c>
      <c r="H30" s="46">
        <v>0.4</v>
      </c>
      <c r="I30" s="17">
        <f t="shared" si="7"/>
        <v>-1449.0155472044878</v>
      </c>
      <c r="J30" s="17">
        <f t="shared" si="6"/>
        <v>-2598.03184066627</v>
      </c>
      <c r="K30" s="11"/>
      <c r="L30" s="17">
        <f t="shared" si="8"/>
        <v>-2598.03184066627</v>
      </c>
      <c r="M30" s="11"/>
    </row>
    <row r="31" spans="1:13">
      <c r="A31" s="15">
        <f t="shared" si="1"/>
        <v>11</v>
      </c>
      <c r="C31" s="17">
        <f t="shared" si="2"/>
        <v>-6070.6000205414057</v>
      </c>
      <c r="D31" s="17">
        <f t="shared" si="3"/>
        <v>54979.278998778376</v>
      </c>
      <c r="E31" s="17">
        <f t="shared" si="0"/>
        <v>-1053.7638422281125</v>
      </c>
      <c r="F31" s="17">
        <f t="shared" si="4"/>
        <v>4970.79956435042</v>
      </c>
      <c r="G31" s="16">
        <f t="shared" si="5"/>
        <v>414.23329702920165</v>
      </c>
      <c r="H31" s="46">
        <v>0.4</v>
      </c>
      <c r="I31" s="17">
        <f t="shared" si="7"/>
        <v>-1507.4246962872051</v>
      </c>
      <c r="J31" s="17">
        <f t="shared" si="6"/>
        <v>-2607.2251524781905</v>
      </c>
      <c r="K31" s="11"/>
      <c r="L31" s="17">
        <f t="shared" si="8"/>
        <v>-2607.2251524781905</v>
      </c>
      <c r="M31" s="11"/>
    </row>
    <row r="32" spans="1:13">
      <c r="A32" s="15">
        <f t="shared" si="1"/>
        <v>12</v>
      </c>
      <c r="C32" s="17">
        <f t="shared" si="2"/>
        <v>-6070.6000205414057</v>
      </c>
      <c r="D32" s="17">
        <f t="shared" si="3"/>
        <v>49962.442820465083</v>
      </c>
      <c r="E32" s="17">
        <f t="shared" si="0"/>
        <v>-952.50223640936383</v>
      </c>
      <c r="F32" s="17">
        <f t="shared" si="4"/>
        <v>5020.5075599939246</v>
      </c>
      <c r="G32" s="16">
        <f t="shared" si="5"/>
        <v>418.3756299994937</v>
      </c>
      <c r="H32" s="46">
        <v>0.4</v>
      </c>
      <c r="I32" s="17">
        <f t="shared" si="7"/>
        <v>-1566.8142888489231</v>
      </c>
      <c r="J32" s="17">
        <f t="shared" si="6"/>
        <v>-2616.9067493964039</v>
      </c>
      <c r="K32" s="11"/>
      <c r="L32" s="17">
        <f t="shared" si="8"/>
        <v>-2616.9067493964039</v>
      </c>
      <c r="M32" s="11"/>
    </row>
    <row r="33" spans="1:13">
      <c r="A33" s="15">
        <f t="shared" si="1"/>
        <v>13</v>
      </c>
      <c r="C33" s="17">
        <f t="shared" si="2"/>
        <v>-6070.6000205414057</v>
      </c>
      <c r="D33" s="17">
        <f t="shared" si="3"/>
        <v>44844.345036333041</v>
      </c>
      <c r="E33" s="17">
        <f t="shared" si="0"/>
        <v>-849.19673032161882</v>
      </c>
      <c r="F33" s="17">
        <f t="shared" si="4"/>
        <v>5070.7126355938635</v>
      </c>
      <c r="G33" s="16">
        <f t="shared" si="5"/>
        <v>422.55938629948861</v>
      </c>
      <c r="H33" s="46">
        <v>0.4</v>
      </c>
      <c r="I33" s="17">
        <f t="shared" si="7"/>
        <v>-1627.2021294338244</v>
      </c>
      <c r="J33" s="17">
        <f t="shared" si="6"/>
        <v>-2627.0895143813668</v>
      </c>
      <c r="K33" s="11"/>
      <c r="L33" s="17">
        <f t="shared" si="8"/>
        <v>-2627.0895143813668</v>
      </c>
      <c r="M33" s="11"/>
    </row>
    <row r="34" spans="1:13">
      <c r="A34" s="15">
        <f t="shared" si="1"/>
        <v>14</v>
      </c>
      <c r="C34" s="17">
        <f t="shared" si="2"/>
        <v>-6070.6000205414057</v>
      </c>
      <c r="D34" s="17">
        <f t="shared" si="3"/>
        <v>39622.941746113254</v>
      </c>
      <c r="E34" s="17">
        <f t="shared" si="0"/>
        <v>-743.80606915530007</v>
      </c>
      <c r="F34" s="17">
        <f t="shared" si="4"/>
        <v>5121.4197619498018</v>
      </c>
      <c r="G34" s="16">
        <f t="shared" si="5"/>
        <v>426.78498016248346</v>
      </c>
      <c r="H34" s="46">
        <v>0.4</v>
      </c>
      <c r="I34" s="17">
        <f t="shared" si="7"/>
        <v>-1688.6063621088979</v>
      </c>
      <c r="J34" s="17">
        <f t="shared" si="6"/>
        <v>-2637.7866207005018</v>
      </c>
      <c r="K34" s="11"/>
      <c r="L34" s="17">
        <f t="shared" si="8"/>
        <v>-2637.7866207005018</v>
      </c>
      <c r="M34" s="11"/>
    </row>
    <row r="35" spans="1:13">
      <c r="A35" s="15">
        <f t="shared" si="1"/>
        <v>15</v>
      </c>
      <c r="C35" s="17">
        <f t="shared" si="2"/>
        <v>-6070.6000205414057</v>
      </c>
      <c r="D35" s="17">
        <f t="shared" si="3"/>
        <v>34296.147794727149</v>
      </c>
      <c r="E35" s="17">
        <f t="shared" si="0"/>
        <v>-636.28816539840773</v>
      </c>
      <c r="F35" s="17">
        <f t="shared" si="4"/>
        <v>5172.6339595692998</v>
      </c>
      <c r="G35" s="16">
        <f t="shared" si="5"/>
        <v>431.0528299641083</v>
      </c>
      <c r="H35" s="46">
        <v>0.4</v>
      </c>
      <c r="I35" s="17">
        <f t="shared" si="7"/>
        <v>-1751.0454771178008</v>
      </c>
      <c r="J35" s="17">
        <f t="shared" si="6"/>
        <v>-2649.0115380899069</v>
      </c>
      <c r="K35" s="11"/>
      <c r="L35" s="17">
        <f t="shared" si="8"/>
        <v>-2649.0115380899069</v>
      </c>
      <c r="M35" s="11"/>
    </row>
    <row r="36" spans="1:13">
      <c r="A36" s="15">
        <f t="shared" si="1"/>
        <v>16</v>
      </c>
      <c r="C36" s="17">
        <f t="shared" si="2"/>
        <v>-6070.6000205414057</v>
      </c>
      <c r="D36" s="17">
        <f t="shared" si="3"/>
        <v>28861.835939584151</v>
      </c>
      <c r="E36" s="17">
        <f t="shared" si="0"/>
        <v>-526.60008203010148</v>
      </c>
      <c r="F36" s="17">
        <f t="shared" si="4"/>
        <v>5224.3602991649932</v>
      </c>
      <c r="G36" s="16">
        <f t="shared" si="5"/>
        <v>435.36335826374943</v>
      </c>
      <c r="H36" s="46">
        <v>0.4</v>
      </c>
      <c r="I36" s="17">
        <f t="shared" si="7"/>
        <v>-1814.538317668357</v>
      </c>
      <c r="J36" s="17">
        <f t="shared" si="6"/>
        <v>-2660.7780390447697</v>
      </c>
      <c r="K36" s="11"/>
      <c r="L36" s="17">
        <f t="shared" si="8"/>
        <v>-2660.7780390447697</v>
      </c>
      <c r="M36" s="11"/>
    </row>
    <row r="37" spans="1:13">
      <c r="A37" s="15">
        <f t="shared" si="1"/>
        <v>17</v>
      </c>
      <c r="C37" s="17">
        <f t="shared" si="2"/>
        <v>-6070.6000205414057</v>
      </c>
      <c r="D37" s="17">
        <f t="shared" si="3"/>
        <v>23317.836001072847</v>
      </c>
      <c r="E37" s="17">
        <f t="shared" si="0"/>
        <v>-414.69801537285457</v>
      </c>
      <c r="F37" s="17">
        <f t="shared" si="4"/>
        <v>5276.603902156643</v>
      </c>
      <c r="G37" s="16">
        <f t="shared" si="5"/>
        <v>439.71699184638692</v>
      </c>
      <c r="H37" s="46">
        <v>0.4</v>
      </c>
      <c r="I37" s="17">
        <f t="shared" si="7"/>
        <v>-1879.1040868539567</v>
      </c>
      <c r="J37" s="17">
        <f t="shared" si="6"/>
        <v>-2673.1002052387194</v>
      </c>
      <c r="K37" s="11"/>
      <c r="L37" s="17">
        <f t="shared" si="8"/>
        <v>-2673.1002052387194</v>
      </c>
      <c r="M37" s="11"/>
    </row>
    <row r="38" spans="1:13">
      <c r="A38" s="15">
        <f t="shared" si="1"/>
        <v>18</v>
      </c>
      <c r="C38" s="17">
        <f t="shared" si="2"/>
        <v>-6070.6000205414057</v>
      </c>
      <c r="D38" s="17">
        <f t="shared" si="3"/>
        <v>17661.933995904295</v>
      </c>
      <c r="E38" s="17">
        <f t="shared" si="0"/>
        <v>-300.53727760089896</v>
      </c>
      <c r="F38" s="17">
        <f t="shared" si="4"/>
        <v>5329.369941178209</v>
      </c>
      <c r="G38" s="16">
        <f t="shared" si="5"/>
        <v>444.11416176485073</v>
      </c>
      <c r="H38" s="46">
        <v>0.4</v>
      </c>
      <c r="I38" s="17">
        <f t="shared" si="7"/>
        <v>-1944.7623547135154</v>
      </c>
      <c r="J38" s="17">
        <f t="shared" si="6"/>
        <v>-2685.992434076712</v>
      </c>
      <c r="K38" s="11"/>
      <c r="L38" s="17">
        <f t="shared" si="8"/>
        <v>-2685.992434076712</v>
      </c>
      <c r="M38" s="11"/>
    </row>
    <row r="39" spans="1:13">
      <c r="A39" s="15">
        <f t="shared" si="1"/>
        <v>19</v>
      </c>
      <c r="C39" s="17">
        <f t="shared" si="2"/>
        <v>-6070.6000205414057</v>
      </c>
      <c r="D39" s="17">
        <f t="shared" si="3"/>
        <v>11891.871252963789</v>
      </c>
      <c r="E39" s="17">
        <f>C39+(D39-D40)</f>
        <v>-184.07227889269052</v>
      </c>
      <c r="F39" s="17">
        <f t="shared" si="4"/>
        <v>5382.6636405899908</v>
      </c>
      <c r="G39" s="16">
        <f t="shared" si="5"/>
        <v>448.55530338249923</v>
      </c>
      <c r="H39" s="46">
        <v>0.4</v>
      </c>
      <c r="I39" s="17">
        <f t="shared" si="7"/>
        <v>-2011.5330654309241</v>
      </c>
      <c r="J39" s="17">
        <f t="shared" si="6"/>
        <v>-2699.469445382339</v>
      </c>
      <c r="K39" s="11"/>
      <c r="L39" s="17">
        <f t="shared" si="8"/>
        <v>-2699.469445382339</v>
      </c>
      <c r="M39" s="11"/>
    </row>
    <row r="40" spans="1:13" ht="12.75" customHeight="1">
      <c r="A40" s="15">
        <f>1+A39</f>
        <v>20</v>
      </c>
      <c r="C40" s="19">
        <f>IF(A40&gt;$D$14,0,C39)</f>
        <v>-6070.6000205414057</v>
      </c>
      <c r="D40" s="17">
        <f t="shared" si="3"/>
        <v>6005.3435113150736</v>
      </c>
      <c r="E40" s="19">
        <f t="shared" si="0"/>
        <v>-65.256509226332128</v>
      </c>
      <c r="F40" s="19">
        <f>F39*(1+$E$7)</f>
        <v>5436.4902769958908</v>
      </c>
      <c r="G40" s="16">
        <f t="shared" si="5"/>
        <v>453.04085641632423</v>
      </c>
      <c r="H40" s="46">
        <v>0.4</v>
      </c>
      <c r="I40" s="17">
        <f t="shared" si="7"/>
        <v>-2079.4365446789202</v>
      </c>
      <c r="J40" s="19">
        <f t="shared" si="6"/>
        <v>-2713.5462882244351</v>
      </c>
      <c r="K40" s="11"/>
      <c r="L40" s="17">
        <f t="shared" si="8"/>
        <v>-2713.5462882244351</v>
      </c>
      <c r="M40" s="11"/>
    </row>
    <row r="41" spans="1:13" ht="12.75" customHeight="1">
      <c r="C41" s="23"/>
      <c r="D41" s="24"/>
      <c r="E41" s="24"/>
      <c r="F41" s="24"/>
      <c r="G41" s="24"/>
      <c r="H41" s="29">
        <v>0.4</v>
      </c>
      <c r="I41" s="8">
        <f t="shared" si="7"/>
        <v>-2148.4935071078235</v>
      </c>
      <c r="J41" s="25">
        <f>K10+I41</f>
        <v>105228.23000831327</v>
      </c>
      <c r="L41" s="8">
        <f>IF(A40=$D$14,K10+I41,0)</f>
        <v>105228.23000831327</v>
      </c>
    </row>
    <row r="42" spans="1:13" ht="12.75" customHeight="1"/>
    <row r="43" spans="1:13">
      <c r="C43" s="11"/>
      <c r="D43" s="11"/>
      <c r="E43" s="11"/>
    </row>
  </sheetData>
  <phoneticPr fontId="2" type="noConversion"/>
  <pageMargins left="0" right="0" top="0.39370078740157483" bottom="0" header="0.4921259845" footer="0.4921259845"/>
  <pageSetup paperSize="9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SCPI simulation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</dc:creator>
  <cp:lastModifiedBy>Olivier Morel</cp:lastModifiedBy>
  <cp:lastPrinted>2014-11-03T18:50:39Z</cp:lastPrinted>
  <dcterms:created xsi:type="dcterms:W3CDTF">2014-11-02T22:08:52Z</dcterms:created>
  <dcterms:modified xsi:type="dcterms:W3CDTF">2018-07-11T05:51:20Z</dcterms:modified>
</cp:coreProperties>
</file>